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8_{468F8C71-EAEF-4B87-912D-30FD94704AC6}" xr6:coauthVersionLast="38" xr6:coauthVersionMax="38" xr10:uidLastSave="{00000000-0000-0000-0000-000000000000}"/>
  <bookViews>
    <workbookView xWindow="0" yWindow="0" windowWidth="15345" windowHeight="4410" xr2:uid="{50A35057-A6FA-426A-85FD-FFA7C9D8CA84}"/>
  </bookViews>
  <sheets>
    <sheet name="SIN PRESTAMO" sheetId="1" r:id="rId1"/>
    <sheet name="CON PRESTAMO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2" i="2" l="1"/>
  <c r="C26" i="2"/>
  <c r="L7" i="2"/>
  <c r="D15" i="1" l="1"/>
  <c r="E15" i="1"/>
  <c r="F15" i="1"/>
  <c r="G15" i="1"/>
  <c r="C15" i="1"/>
  <c r="F4" i="2" l="1"/>
  <c r="B32" i="2"/>
  <c r="G33" i="2"/>
  <c r="F33" i="2"/>
  <c r="E33" i="2"/>
  <c r="D33" i="2"/>
  <c r="C33" i="2"/>
  <c r="G20" i="2"/>
  <c r="F20" i="2"/>
  <c r="E20" i="2"/>
  <c r="D20" i="2"/>
  <c r="C20" i="2"/>
  <c r="J7" i="2"/>
  <c r="J8" i="2"/>
  <c r="L8" i="2"/>
  <c r="L9" i="2"/>
  <c r="L10" i="2"/>
  <c r="L11" i="2"/>
  <c r="I6" i="2"/>
  <c r="G40" i="2"/>
  <c r="F40" i="2"/>
  <c r="E40" i="2"/>
  <c r="D40" i="2"/>
  <c r="C40" i="2"/>
  <c r="F37" i="2"/>
  <c r="E37" i="2"/>
  <c r="D37" i="2"/>
  <c r="C37" i="2"/>
  <c r="B35" i="2"/>
  <c r="G36" i="2" s="1"/>
  <c r="B31" i="2"/>
  <c r="B37" i="2" s="1"/>
  <c r="B38" i="2" s="1"/>
  <c r="G29" i="2"/>
  <c r="F29" i="2"/>
  <c r="E29" i="2"/>
  <c r="D29" i="2"/>
  <c r="C29" i="2"/>
  <c r="C22" i="2"/>
  <c r="C28" i="2" s="1"/>
  <c r="G19" i="2"/>
  <c r="E19" i="2"/>
  <c r="C19" i="2"/>
  <c r="G17" i="2"/>
  <c r="F17" i="2"/>
  <c r="E17" i="2"/>
  <c r="D17" i="2"/>
  <c r="C17" i="2"/>
  <c r="C13" i="2"/>
  <c r="C16" i="2" s="1"/>
  <c r="B11" i="2"/>
  <c r="F19" i="2" s="1"/>
  <c r="B10" i="2"/>
  <c r="D6" i="2"/>
  <c r="D5" i="2"/>
  <c r="E21" i="2" s="1"/>
  <c r="E27" i="2" s="1"/>
  <c r="G34" i="2"/>
  <c r="G37" i="2" s="1"/>
  <c r="B43" i="1"/>
  <c r="D41" i="1"/>
  <c r="E41" i="1"/>
  <c r="F41" i="1"/>
  <c r="G41" i="1"/>
  <c r="C41" i="1"/>
  <c r="C38" i="1"/>
  <c r="D38" i="1"/>
  <c r="E38" i="1"/>
  <c r="F38" i="1"/>
  <c r="G38" i="1"/>
  <c r="B38" i="1"/>
  <c r="G37" i="1"/>
  <c r="C31" i="1"/>
  <c r="C27" i="1"/>
  <c r="C26" i="1"/>
  <c r="D18" i="1"/>
  <c r="E18" i="1"/>
  <c r="F18" i="1"/>
  <c r="G18" i="1"/>
  <c r="C18" i="1"/>
  <c r="D19" i="1"/>
  <c r="E19" i="1"/>
  <c r="F19" i="1"/>
  <c r="G19" i="1"/>
  <c r="C19" i="1"/>
  <c r="D17" i="1"/>
  <c r="E17" i="1"/>
  <c r="F17" i="1"/>
  <c r="G17" i="1"/>
  <c r="C17" i="1"/>
  <c r="E13" i="1"/>
  <c r="F13" i="1" s="1"/>
  <c r="G13" i="1" s="1"/>
  <c r="D13" i="1"/>
  <c r="C13" i="1"/>
  <c r="K7" i="2" l="1"/>
  <c r="I7" i="2" s="1"/>
  <c r="D13" i="2"/>
  <c r="D19" i="2"/>
  <c r="C21" i="2"/>
  <c r="C27" i="2" s="1"/>
  <c r="G21" i="2"/>
  <c r="G27" i="2" s="1"/>
  <c r="F21" i="2"/>
  <c r="F27" i="2" s="1"/>
  <c r="D21" i="2"/>
  <c r="D27" i="2" s="1"/>
  <c r="C18" i="2"/>
  <c r="C24" i="2" s="1"/>
  <c r="G35" i="1"/>
  <c r="F4" i="1"/>
  <c r="B39" i="1"/>
  <c r="B36" i="1"/>
  <c r="B32" i="1"/>
  <c r="D30" i="1"/>
  <c r="E30" i="1"/>
  <c r="F30" i="1"/>
  <c r="G30" i="1"/>
  <c r="C30" i="1"/>
  <c r="C29" i="1"/>
  <c r="C25" i="1"/>
  <c r="C23" i="1"/>
  <c r="D28" i="1"/>
  <c r="E28" i="1"/>
  <c r="F28" i="1"/>
  <c r="G28" i="1"/>
  <c r="C28" i="1"/>
  <c r="D22" i="1"/>
  <c r="E22" i="1"/>
  <c r="F22" i="1"/>
  <c r="G22" i="1"/>
  <c r="C22" i="1"/>
  <c r="D6" i="1"/>
  <c r="D5" i="1"/>
  <c r="D20" i="1"/>
  <c r="E20" i="1"/>
  <c r="F20" i="1"/>
  <c r="G20" i="1"/>
  <c r="C20" i="1"/>
  <c r="B10" i="1"/>
  <c r="B11" i="1"/>
  <c r="K8" i="2" l="1"/>
  <c r="I8" i="2" s="1"/>
  <c r="D22" i="2"/>
  <c r="D28" i="2" s="1"/>
  <c r="C25" i="2"/>
  <c r="C30" i="2" s="1"/>
  <c r="C38" i="2" s="1"/>
  <c r="D16" i="2"/>
  <c r="E13" i="2"/>
  <c r="D18" i="2"/>
  <c r="C39" i="1"/>
  <c r="D23" i="1"/>
  <c r="D24" i="2" l="1"/>
  <c r="J9" i="2"/>
  <c r="K9" i="2" s="1"/>
  <c r="I9" i="2" s="1"/>
  <c r="J10" i="2" s="1"/>
  <c r="K10" i="2" s="1"/>
  <c r="I10" i="2" s="1"/>
  <c r="J11" i="2" s="1"/>
  <c r="D25" i="2"/>
  <c r="D26" i="2" s="1"/>
  <c r="D30" i="2" s="1"/>
  <c r="D38" i="2" s="1"/>
  <c r="E22" i="2"/>
  <c r="E28" i="2" s="1"/>
  <c r="E16" i="2"/>
  <c r="F13" i="2"/>
  <c r="E18" i="2"/>
  <c r="D25" i="1"/>
  <c r="D29" i="1"/>
  <c r="K11" i="2" l="1"/>
  <c r="I11" i="2" s="1"/>
  <c r="F16" i="2"/>
  <c r="G13" i="2"/>
  <c r="F18" i="2"/>
  <c r="E24" i="2"/>
  <c r="E23" i="1"/>
  <c r="D26" i="1"/>
  <c r="D27" i="1" s="1"/>
  <c r="D31" i="1" s="1"/>
  <c r="D39" i="1" s="1"/>
  <c r="G16" i="2" l="1"/>
  <c r="G18" i="2"/>
  <c r="E25" i="2"/>
  <c r="E26" i="2" s="1"/>
  <c r="E30" i="2" s="1"/>
  <c r="E38" i="2" s="1"/>
  <c r="F22" i="2"/>
  <c r="F28" i="2" s="1"/>
  <c r="E25" i="1"/>
  <c r="E29" i="1"/>
  <c r="F24" i="2" l="1"/>
  <c r="F25" i="2" s="1"/>
  <c r="F26" i="2" s="1"/>
  <c r="F30" i="2" s="1"/>
  <c r="F38" i="2" s="1"/>
  <c r="F23" i="1"/>
  <c r="E26" i="1"/>
  <c r="E27" i="1"/>
  <c r="E31" i="1" s="1"/>
  <c r="E39" i="1" s="1"/>
  <c r="G22" i="2" l="1"/>
  <c r="G28" i="2" s="1"/>
  <c r="G24" i="2"/>
  <c r="F25" i="1"/>
  <c r="F29" i="1"/>
  <c r="G25" i="2" l="1"/>
  <c r="G26" i="2" s="1"/>
  <c r="G30" i="2" s="1"/>
  <c r="G38" i="2" s="1"/>
  <c r="G23" i="1"/>
  <c r="F26" i="1"/>
  <c r="F27" i="1" s="1"/>
  <c r="F31" i="1" s="1"/>
  <c r="F39" i="1" s="1"/>
  <c r="G25" i="1" l="1"/>
  <c r="G29" i="1"/>
  <c r="G26" i="1" l="1"/>
  <c r="G27" i="1" s="1"/>
  <c r="G31" i="1" s="1"/>
  <c r="G39" i="1" s="1"/>
</calcChain>
</file>

<file path=xl/sharedStrings.xml><?xml version="1.0" encoding="utf-8"?>
<sst xmlns="http://schemas.openxmlformats.org/spreadsheetml/2006/main" count="101" uniqueCount="48">
  <si>
    <t>PRECIO</t>
  </si>
  <si>
    <t>CANTIDAD</t>
  </si>
  <si>
    <t>MM envíos</t>
  </si>
  <si>
    <t>COSTO</t>
  </si>
  <si>
    <t>VIDA ÚTIL</t>
  </si>
  <si>
    <t>ACTIVO</t>
  </si>
  <si>
    <t>Instalaciones</t>
  </si>
  <si>
    <t>Equipos</t>
  </si>
  <si>
    <t>Cap trabajo</t>
  </si>
  <si>
    <t>DEP</t>
  </si>
  <si>
    <t>COSTOS FIJOS</t>
  </si>
  <si>
    <t>MM mensuales</t>
  </si>
  <si>
    <t>COSTOS VARIABLE</t>
  </si>
  <si>
    <t>GAV</t>
  </si>
  <si>
    <t>MM ANUALES</t>
  </si>
  <si>
    <t>INSUMOS Y REPARTO</t>
  </si>
  <si>
    <t>COSTO CAPITAL</t>
  </si>
  <si>
    <t>IMPUESTO</t>
  </si>
  <si>
    <t>INGRESOS</t>
  </si>
  <si>
    <t>COSTO FIJO</t>
  </si>
  <si>
    <t>COSTO VARIABLE</t>
  </si>
  <si>
    <t>INTERESES</t>
  </si>
  <si>
    <t>DEPRECIACIÓN</t>
  </si>
  <si>
    <t>PEA</t>
  </si>
  <si>
    <t>GP CAPITAL</t>
  </si>
  <si>
    <t>UAI</t>
  </si>
  <si>
    <t>IMPUESTOS</t>
  </si>
  <si>
    <t>UDI</t>
  </si>
  <si>
    <t>FC OPERACIONAL</t>
  </si>
  <si>
    <t>INVERSIONES</t>
  </si>
  <si>
    <t>PRESTAMOS</t>
  </si>
  <si>
    <t>AMORTIZACION</t>
  </si>
  <si>
    <t>VALOR RESIDUAL</t>
  </si>
  <si>
    <t>CAP TRABAJO</t>
  </si>
  <si>
    <t>REC CAP TRABAJO</t>
  </si>
  <si>
    <t>FC CAPITALES</t>
  </si>
  <si>
    <t>FC TOTAL</t>
  </si>
  <si>
    <t>DEMANDA</t>
  </si>
  <si>
    <t>% DEMANDA</t>
  </si>
  <si>
    <t>AÑO</t>
  </si>
  <si>
    <t>VAN</t>
  </si>
  <si>
    <t>1+r^t</t>
  </si>
  <si>
    <t>PRESTAMO</t>
  </si>
  <si>
    <t>PERIODO</t>
  </si>
  <si>
    <t>SALDO</t>
  </si>
  <si>
    <t>INTERES</t>
  </si>
  <si>
    <t>CUOTA</t>
  </si>
  <si>
    <t>TASA INTERES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</si>
</sst>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&quot;$&quot;\-#,##0.00"/>
    <numFmt numFmtId="41" formatCode="_ * #,##0_ ;_ * \-#,##0_ ;_ * &quot;-&quot;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6">
    <xf numFmtId="0" fontId="0" fillId="0" borderId="0" xfId="0"/>
    <xf numFmtId="8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1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41" fontId="0" fillId="0" borderId="7" xfId="0" applyNumberFormat="1" applyBorder="1"/>
    <xf numFmtId="0" fontId="0" fillId="0" borderId="8" xfId="0" applyBorder="1"/>
    <xf numFmtId="9" fontId="0" fillId="0" borderId="3" xfId="0" applyNumberFormat="1" applyBorder="1"/>
    <xf numFmtId="9" fontId="0" fillId="0" borderId="8" xfId="0" applyNumberFormat="1" applyBorder="1"/>
    <xf numFmtId="41" fontId="0" fillId="0" borderId="2" xfId="1" applyNumberFormat="1" applyFont="1" applyBorder="1"/>
    <xf numFmtId="41" fontId="0" fillId="0" borderId="7" xfId="1" applyFont="1" applyBorder="1"/>
    <xf numFmtId="41" fontId="0" fillId="0" borderId="0" xfId="1" applyFont="1" applyBorder="1"/>
    <xf numFmtId="41" fontId="0" fillId="0" borderId="5" xfId="0" applyNumberFormat="1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41" fontId="0" fillId="0" borderId="9" xfId="1" applyFont="1" applyBorder="1"/>
    <xf numFmtId="41" fontId="0" fillId="0" borderId="10" xfId="1" applyFont="1" applyBorder="1"/>
    <xf numFmtId="41" fontId="0" fillId="0" borderId="3" xfId="1" applyFont="1" applyBorder="1"/>
    <xf numFmtId="41" fontId="0" fillId="0" borderId="2" xfId="1" applyFont="1" applyBorder="1"/>
    <xf numFmtId="9" fontId="0" fillId="0" borderId="7" xfId="0" applyNumberForma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41" fontId="0" fillId="0" borderId="8" xfId="0" applyNumberFormat="1" applyBorder="1"/>
    <xf numFmtId="41" fontId="0" fillId="0" borderId="11" xfId="0" applyNumberFormat="1" applyBorder="1"/>
    <xf numFmtId="41" fontId="0" fillId="0" borderId="10" xfId="0" applyNumberFormat="1" applyBorder="1"/>
    <xf numFmtId="0" fontId="0" fillId="0" borderId="11" xfId="0" applyBorder="1"/>
    <xf numFmtId="0" fontId="0" fillId="2" borderId="9" xfId="0" applyFill="1" applyBorder="1"/>
    <xf numFmtId="41" fontId="0" fillId="2" borderId="10" xfId="0" applyNumberFormat="1" applyFill="1" applyBorder="1"/>
    <xf numFmtId="0" fontId="2" fillId="0" borderId="1" xfId="0" applyFont="1" applyBorder="1"/>
    <xf numFmtId="0" fontId="2" fillId="0" borderId="6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9" xfId="0" applyFont="1" applyBorder="1"/>
    <xf numFmtId="0" fontId="2" fillId="0" borderId="4" xfId="0" applyFont="1" applyBorder="1"/>
    <xf numFmtId="41" fontId="0" fillId="0" borderId="0" xfId="0" applyNumberFormat="1"/>
    <xf numFmtId="41" fontId="0" fillId="0" borderId="5" xfId="1" applyFont="1" applyBorder="1"/>
    <xf numFmtId="41" fontId="0" fillId="0" borderId="8" xfId="1" applyFont="1" applyBorder="1"/>
    <xf numFmtId="0" fontId="2" fillId="0" borderId="0" xfId="0" applyFont="1" applyFill="1" applyBorder="1"/>
    <xf numFmtId="0" fontId="0" fillId="0" borderId="0" xfId="0" applyFill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F63B1-A950-42D7-B0F6-95F1D4181A08}">
  <dimension ref="A1:G43"/>
  <sheetViews>
    <sheetView tabSelected="1" workbookViewId="0">
      <selection activeCell="F4" sqref="F4"/>
    </sheetView>
  </sheetViews>
  <sheetFormatPr baseColWidth="10" defaultRowHeight="15" x14ac:dyDescent="0.25"/>
  <cols>
    <col min="1" max="1" width="19.5703125" customWidth="1"/>
    <col min="2" max="2" width="13.7109375" bestFit="1" customWidth="1"/>
    <col min="3" max="3" width="19.5703125" bestFit="1" customWidth="1"/>
    <col min="4" max="4" width="14.5703125" customWidth="1"/>
    <col min="5" max="5" width="16.140625" bestFit="1" customWidth="1"/>
    <col min="6" max="7" width="14.5703125" customWidth="1"/>
  </cols>
  <sheetData>
    <row r="1" spans="1:7" x14ac:dyDescent="0.25">
      <c r="A1" s="35" t="s">
        <v>0</v>
      </c>
      <c r="B1" s="3">
        <v>200</v>
      </c>
      <c r="C1" s="4"/>
    </row>
    <row r="2" spans="1:7" ht="15.75" thickBot="1" x14ac:dyDescent="0.3">
      <c r="A2" s="36" t="s">
        <v>1</v>
      </c>
      <c r="B2" s="15">
        <v>10000000</v>
      </c>
      <c r="C2" s="11" t="s">
        <v>2</v>
      </c>
    </row>
    <row r="3" spans="1:7" ht="15.75" thickBot="1" x14ac:dyDescent="0.3"/>
    <row r="4" spans="1:7" ht="15.75" thickBot="1" x14ac:dyDescent="0.3">
      <c r="A4" s="35" t="s">
        <v>5</v>
      </c>
      <c r="B4" s="37" t="s">
        <v>3</v>
      </c>
      <c r="C4" s="37" t="s">
        <v>4</v>
      </c>
      <c r="D4" s="38" t="s">
        <v>9</v>
      </c>
      <c r="E4" s="39" t="s">
        <v>32</v>
      </c>
      <c r="F4" s="20">
        <f>B5-((B5/C5))*5</f>
        <v>225000000</v>
      </c>
    </row>
    <row r="5" spans="1:7" x14ac:dyDescent="0.25">
      <c r="A5" s="5" t="s">
        <v>6</v>
      </c>
      <c r="B5" s="16">
        <v>300000000</v>
      </c>
      <c r="C5" s="7">
        <v>20</v>
      </c>
      <c r="D5" s="17">
        <f>B5/C5</f>
        <v>15000000</v>
      </c>
    </row>
    <row r="6" spans="1:7" x14ac:dyDescent="0.25">
      <c r="A6" s="5" t="s">
        <v>7</v>
      </c>
      <c r="B6" s="16">
        <v>40000000</v>
      </c>
      <c r="C6" s="7">
        <v>5</v>
      </c>
      <c r="D6" s="17">
        <f>B6/C6</f>
        <v>8000000</v>
      </c>
    </row>
    <row r="7" spans="1:7" ht="15.75" thickBot="1" x14ac:dyDescent="0.3">
      <c r="A7" s="9" t="s">
        <v>8</v>
      </c>
      <c r="B7" s="15">
        <v>20000000</v>
      </c>
      <c r="C7" s="18"/>
      <c r="D7" s="11"/>
    </row>
    <row r="8" spans="1:7" ht="15.75" thickBot="1" x14ac:dyDescent="0.3"/>
    <row r="9" spans="1:7" x14ac:dyDescent="0.25">
      <c r="A9" s="35" t="s">
        <v>10</v>
      </c>
      <c r="B9" s="14">
        <v>500000</v>
      </c>
      <c r="C9" s="4" t="s">
        <v>11</v>
      </c>
      <c r="E9" s="35" t="s">
        <v>16</v>
      </c>
      <c r="F9" s="12">
        <v>0.16</v>
      </c>
    </row>
    <row r="10" spans="1:7" ht="15.75" thickBot="1" x14ac:dyDescent="0.3">
      <c r="A10" s="40" t="s">
        <v>12</v>
      </c>
      <c r="B10" s="7">
        <f>40+75</f>
        <v>115</v>
      </c>
      <c r="C10" s="8" t="s">
        <v>15</v>
      </c>
      <c r="E10" s="36" t="s">
        <v>17</v>
      </c>
      <c r="F10" s="13">
        <v>0.15</v>
      </c>
    </row>
    <row r="11" spans="1:7" ht="15.75" thickBot="1" x14ac:dyDescent="0.3">
      <c r="A11" s="36" t="s">
        <v>13</v>
      </c>
      <c r="B11" s="15">
        <f>10*250000*12</f>
        <v>30000000</v>
      </c>
      <c r="C11" s="11" t="s">
        <v>14</v>
      </c>
    </row>
    <row r="12" spans="1:7" ht="15.75" thickBot="1" x14ac:dyDescent="0.3"/>
    <row r="13" spans="1:7" x14ac:dyDescent="0.25">
      <c r="A13" s="2" t="s">
        <v>37</v>
      </c>
      <c r="B13" s="3"/>
      <c r="C13" s="24">
        <f>((250-$B$1)/5)*1000000</f>
        <v>10000000</v>
      </c>
      <c r="D13" s="24">
        <f>C13*1.05</f>
        <v>10500000</v>
      </c>
      <c r="E13" s="24">
        <f>D13*1.05</f>
        <v>11025000</v>
      </c>
      <c r="F13" s="24">
        <f>E13*1.05</f>
        <v>11576250</v>
      </c>
      <c r="G13" s="23">
        <f>F13*1.05</f>
        <v>12155062.5</v>
      </c>
    </row>
    <row r="14" spans="1:7" ht="15.75" thickBot="1" x14ac:dyDescent="0.3">
      <c r="A14" s="9" t="s">
        <v>38</v>
      </c>
      <c r="B14" s="18"/>
      <c r="C14" s="25">
        <v>0.1</v>
      </c>
      <c r="D14" s="25">
        <v>0.12</v>
      </c>
      <c r="E14" s="25">
        <v>0.14000000000000001</v>
      </c>
      <c r="F14" s="25">
        <v>0.16</v>
      </c>
      <c r="G14" s="13">
        <v>0.18</v>
      </c>
    </row>
    <row r="15" spans="1:7" ht="15.75" thickBot="1" x14ac:dyDescent="0.3">
      <c r="A15" s="5"/>
      <c r="B15" s="7"/>
      <c r="C15" s="16">
        <f>C13*C14</f>
        <v>1000000</v>
      </c>
      <c r="D15" s="16">
        <f>D13*D14</f>
        <v>1260000</v>
      </c>
      <c r="E15" s="16">
        <f>E13*E14</f>
        <v>1543500.0000000002</v>
      </c>
      <c r="F15" s="16">
        <f>F13*F14</f>
        <v>1852200</v>
      </c>
      <c r="G15" s="16">
        <f>G13*G14</f>
        <v>2187911.25</v>
      </c>
    </row>
    <row r="16" spans="1:7" x14ac:dyDescent="0.25">
      <c r="A16" s="26" t="s">
        <v>39</v>
      </c>
      <c r="B16" s="27">
        <v>0</v>
      </c>
      <c r="C16" s="27">
        <v>1</v>
      </c>
      <c r="D16" s="27">
        <v>2</v>
      </c>
      <c r="E16" s="27">
        <v>3</v>
      </c>
      <c r="F16" s="27">
        <v>4</v>
      </c>
      <c r="G16" s="28">
        <v>5</v>
      </c>
    </row>
    <row r="17" spans="1:7" x14ac:dyDescent="0.25">
      <c r="A17" s="5" t="s">
        <v>18</v>
      </c>
      <c r="B17" s="7"/>
      <c r="C17" s="6">
        <f>$B$1*(C13*C14)</f>
        <v>200000000</v>
      </c>
      <c r="D17" s="6">
        <f>$B$1*(D13*D14)</f>
        <v>252000000</v>
      </c>
      <c r="E17" s="6">
        <f>$B$1*(E13*E14)</f>
        <v>308700000.00000006</v>
      </c>
      <c r="F17" s="6">
        <f>$B$1*(F13*F14)</f>
        <v>370440000</v>
      </c>
      <c r="G17" s="17">
        <f>$B$1*(G13*G14)</f>
        <v>437582250</v>
      </c>
    </row>
    <row r="18" spans="1:7" x14ac:dyDescent="0.25">
      <c r="A18" s="5" t="s">
        <v>19</v>
      </c>
      <c r="B18" s="7"/>
      <c r="C18" s="6">
        <f>$B$9*12</f>
        <v>6000000</v>
      </c>
      <c r="D18" s="6">
        <f>$B$9*12</f>
        <v>6000000</v>
      </c>
      <c r="E18" s="6">
        <f>$B$9*12</f>
        <v>6000000</v>
      </c>
      <c r="F18" s="6">
        <f>$B$9*12</f>
        <v>6000000</v>
      </c>
      <c r="G18" s="17">
        <f>$B$9*12</f>
        <v>6000000</v>
      </c>
    </row>
    <row r="19" spans="1:7" x14ac:dyDescent="0.25">
      <c r="A19" s="5" t="s">
        <v>20</v>
      </c>
      <c r="B19" s="7"/>
      <c r="C19" s="6">
        <f>$B$10*(C13*C14)</f>
        <v>115000000</v>
      </c>
      <c r="D19" s="6">
        <f>$B$10*(D13*D14)</f>
        <v>144900000</v>
      </c>
      <c r="E19" s="6">
        <f>$B$10*(E13*E14)</f>
        <v>177502500.00000003</v>
      </c>
      <c r="F19" s="6">
        <f>$B$10*(F13*F14)</f>
        <v>213003000</v>
      </c>
      <c r="G19" s="17">
        <f>$B$10*(G13*G14)</f>
        <v>251609793.75</v>
      </c>
    </row>
    <row r="20" spans="1:7" x14ac:dyDescent="0.25">
      <c r="A20" s="5" t="s">
        <v>13</v>
      </c>
      <c r="B20" s="7"/>
      <c r="C20" s="6">
        <f>$B$11</f>
        <v>30000000</v>
      </c>
      <c r="D20" s="6">
        <f>$B$11</f>
        <v>30000000</v>
      </c>
      <c r="E20" s="6">
        <f>$B$11</f>
        <v>30000000</v>
      </c>
      <c r="F20" s="6">
        <f>$B$11</f>
        <v>30000000</v>
      </c>
      <c r="G20" s="17">
        <f>$B$11</f>
        <v>30000000</v>
      </c>
    </row>
    <row r="21" spans="1:7" x14ac:dyDescent="0.25">
      <c r="A21" s="5" t="s">
        <v>21</v>
      </c>
      <c r="B21" s="7"/>
      <c r="C21" s="7"/>
      <c r="D21" s="7"/>
      <c r="E21" s="7"/>
      <c r="F21" s="7"/>
      <c r="G21" s="8"/>
    </row>
    <row r="22" spans="1:7" x14ac:dyDescent="0.25">
      <c r="A22" s="5" t="s">
        <v>22</v>
      </c>
      <c r="B22" s="7"/>
      <c r="C22" s="6">
        <f>SUM($D$5:$D$6)</f>
        <v>23000000</v>
      </c>
      <c r="D22" s="6">
        <f>SUM($D$5:$D$6)</f>
        <v>23000000</v>
      </c>
      <c r="E22" s="6">
        <f>SUM($D$5:$D$6)</f>
        <v>23000000</v>
      </c>
      <c r="F22" s="6">
        <f>SUM($D$5:$D$6)</f>
        <v>23000000</v>
      </c>
      <c r="G22" s="17">
        <f>SUM($D$5:$D$6)</f>
        <v>23000000</v>
      </c>
    </row>
    <row r="23" spans="1:7" x14ac:dyDescent="0.25">
      <c r="A23" s="5" t="s">
        <v>23</v>
      </c>
      <c r="B23" s="7"/>
      <c r="C23" s="7">
        <f>IF(B25&gt;0,0,B25)</f>
        <v>0</v>
      </c>
      <c r="D23" s="7">
        <f>IF(C25&gt;0,0,C25)</f>
        <v>0</v>
      </c>
      <c r="E23" s="7">
        <f>IF(D25&gt;0,0,D25)</f>
        <v>0</v>
      </c>
      <c r="F23" s="7">
        <f>IF(E25&gt;0,0,E25)</f>
        <v>0</v>
      </c>
      <c r="G23" s="8">
        <f>IF(F25&gt;0,0,F25)</f>
        <v>0</v>
      </c>
    </row>
    <row r="24" spans="1:7" x14ac:dyDescent="0.25">
      <c r="A24" s="5" t="s">
        <v>24</v>
      </c>
      <c r="B24" s="7"/>
      <c r="C24" s="7"/>
      <c r="D24" s="7"/>
      <c r="E24" s="7"/>
      <c r="F24" s="7"/>
      <c r="G24" s="8"/>
    </row>
    <row r="25" spans="1:7" x14ac:dyDescent="0.25">
      <c r="A25" s="5" t="s">
        <v>25</v>
      </c>
      <c r="B25" s="7"/>
      <c r="C25" s="6">
        <f>C17-C18-C19-C20-C21-C22+C23+C24</f>
        <v>26000000</v>
      </c>
      <c r="D25" s="6">
        <f>D17-D18-D19-D20-D21-D22+D23+D24</f>
        <v>48100000</v>
      </c>
      <c r="E25" s="6">
        <f>E17-E18-E19-E20-E21-E22+E23+E24</f>
        <v>72197500.00000003</v>
      </c>
      <c r="F25" s="6">
        <f>F17-F18-F19-F20-F21-F22+F23+F24</f>
        <v>98437000</v>
      </c>
      <c r="G25" s="17">
        <f>G17-G18-G19-G20-G21-G22+G23+G24</f>
        <v>126972456.25</v>
      </c>
    </row>
    <row r="26" spans="1:7" x14ac:dyDescent="0.25">
      <c r="A26" s="5" t="s">
        <v>26</v>
      </c>
      <c r="B26" s="7"/>
      <c r="C26" s="6">
        <f>C25*$F$10</f>
        <v>3900000</v>
      </c>
      <c r="D26" s="6">
        <f>D25*$F$10</f>
        <v>7215000</v>
      </c>
      <c r="E26" s="6">
        <f>E25*$F$10</f>
        <v>10829625.000000004</v>
      </c>
      <c r="F26" s="6">
        <f>F25*$F$10</f>
        <v>14765550</v>
      </c>
      <c r="G26" s="17">
        <f>G25*$F$10</f>
        <v>19045868.4375</v>
      </c>
    </row>
    <row r="27" spans="1:7" x14ac:dyDescent="0.25">
      <c r="A27" s="5" t="s">
        <v>27</v>
      </c>
      <c r="B27" s="7"/>
      <c r="C27" s="6">
        <f>C25-C26</f>
        <v>22100000</v>
      </c>
      <c r="D27" s="6">
        <f>D25-D26</f>
        <v>40885000</v>
      </c>
      <c r="E27" s="6">
        <f>E25-E26</f>
        <v>61367875.00000003</v>
      </c>
      <c r="F27" s="6">
        <f>F25-F26</f>
        <v>83671450</v>
      </c>
      <c r="G27" s="17">
        <f>G25-G26</f>
        <v>107926587.8125</v>
      </c>
    </row>
    <row r="28" spans="1:7" x14ac:dyDescent="0.25">
      <c r="A28" s="5" t="s">
        <v>22</v>
      </c>
      <c r="B28" s="7"/>
      <c r="C28" s="6">
        <f>C22</f>
        <v>23000000</v>
      </c>
      <c r="D28" s="6">
        <f>D22</f>
        <v>23000000</v>
      </c>
      <c r="E28" s="6">
        <f>E22</f>
        <v>23000000</v>
      </c>
      <c r="F28" s="6">
        <f>F22</f>
        <v>23000000</v>
      </c>
      <c r="G28" s="17">
        <f>G22</f>
        <v>23000000</v>
      </c>
    </row>
    <row r="29" spans="1:7" x14ac:dyDescent="0.25">
      <c r="A29" s="5" t="s">
        <v>23</v>
      </c>
      <c r="B29" s="7"/>
      <c r="C29" s="7">
        <f t="shared" ref="C29:G30" si="0">-C23</f>
        <v>0</v>
      </c>
      <c r="D29" s="7">
        <f t="shared" si="0"/>
        <v>0</v>
      </c>
      <c r="E29" s="7">
        <f t="shared" si="0"/>
        <v>0</v>
      </c>
      <c r="F29" s="7">
        <f t="shared" si="0"/>
        <v>0</v>
      </c>
      <c r="G29" s="8">
        <f t="shared" si="0"/>
        <v>0</v>
      </c>
    </row>
    <row r="30" spans="1:7" x14ac:dyDescent="0.25">
      <c r="A30" s="5" t="s">
        <v>24</v>
      </c>
      <c r="B30" s="7"/>
      <c r="C30" s="7">
        <f t="shared" si="0"/>
        <v>0</v>
      </c>
      <c r="D30" s="7">
        <f t="shared" si="0"/>
        <v>0</v>
      </c>
      <c r="E30" s="7">
        <f t="shared" si="0"/>
        <v>0</v>
      </c>
      <c r="F30" s="7">
        <f t="shared" si="0"/>
        <v>0</v>
      </c>
      <c r="G30" s="8">
        <f t="shared" si="0"/>
        <v>0</v>
      </c>
    </row>
    <row r="31" spans="1:7" x14ac:dyDescent="0.25">
      <c r="A31" s="5" t="s">
        <v>28</v>
      </c>
      <c r="B31" s="7"/>
      <c r="C31" s="6">
        <f>C27+C28+C29+C30</f>
        <v>45100000</v>
      </c>
      <c r="D31" s="6">
        <f>D27+D28+D29+D30</f>
        <v>63885000</v>
      </c>
      <c r="E31" s="6">
        <f>E27+E28+E29+E30</f>
        <v>84367875.00000003</v>
      </c>
      <c r="F31" s="6">
        <f>F27+F28+F29+F30</f>
        <v>106671450</v>
      </c>
      <c r="G31" s="17">
        <f>G27+G28+G29+G30</f>
        <v>130926587.8125</v>
      </c>
    </row>
    <row r="32" spans="1:7" x14ac:dyDescent="0.25">
      <c r="A32" s="5" t="s">
        <v>29</v>
      </c>
      <c r="B32" s="6">
        <f>SUM(B5:B6)</f>
        <v>340000000</v>
      </c>
      <c r="C32" s="7"/>
      <c r="D32" s="7"/>
      <c r="E32" s="7"/>
      <c r="F32" s="7"/>
      <c r="G32" s="8"/>
    </row>
    <row r="33" spans="1:7" x14ac:dyDescent="0.25">
      <c r="A33" s="5" t="s">
        <v>30</v>
      </c>
      <c r="B33" s="7"/>
      <c r="C33" s="7"/>
      <c r="D33" s="7"/>
      <c r="E33" s="7"/>
      <c r="F33" s="7"/>
      <c r="G33" s="8"/>
    </row>
    <row r="34" spans="1:7" x14ac:dyDescent="0.25">
      <c r="A34" s="5" t="s">
        <v>31</v>
      </c>
      <c r="B34" s="7"/>
      <c r="C34" s="7"/>
      <c r="D34" s="7"/>
      <c r="E34" s="7"/>
      <c r="F34" s="7"/>
      <c r="G34" s="8"/>
    </row>
    <row r="35" spans="1:7" x14ac:dyDescent="0.25">
      <c r="A35" s="5" t="s">
        <v>32</v>
      </c>
      <c r="B35" s="7"/>
      <c r="C35" s="7"/>
      <c r="D35" s="7"/>
      <c r="E35" s="7"/>
      <c r="F35" s="7"/>
      <c r="G35" s="8">
        <f>F4</f>
        <v>225000000</v>
      </c>
    </row>
    <row r="36" spans="1:7" x14ac:dyDescent="0.25">
      <c r="A36" s="5" t="s">
        <v>33</v>
      </c>
      <c r="B36" s="6">
        <f>B7</f>
        <v>20000000</v>
      </c>
      <c r="C36" s="7"/>
      <c r="D36" s="7"/>
      <c r="E36" s="7"/>
      <c r="F36" s="7"/>
      <c r="G36" s="8"/>
    </row>
    <row r="37" spans="1:7" x14ac:dyDescent="0.25">
      <c r="A37" s="5" t="s">
        <v>34</v>
      </c>
      <c r="B37" s="7"/>
      <c r="C37" s="7"/>
      <c r="D37" s="7"/>
      <c r="E37" s="7"/>
      <c r="F37" s="7"/>
      <c r="G37" s="17">
        <f>B36</f>
        <v>20000000</v>
      </c>
    </row>
    <row r="38" spans="1:7" ht="15.75" thickBot="1" x14ac:dyDescent="0.3">
      <c r="A38" s="9" t="s">
        <v>35</v>
      </c>
      <c r="B38" s="10">
        <f t="shared" ref="B38:G38" si="1">-B32+B33-B34+B35-B36+B37</f>
        <v>-360000000</v>
      </c>
      <c r="C38" s="10">
        <f t="shared" si="1"/>
        <v>0</v>
      </c>
      <c r="D38" s="10">
        <f t="shared" si="1"/>
        <v>0</v>
      </c>
      <c r="E38" s="10">
        <f t="shared" si="1"/>
        <v>0</v>
      </c>
      <c r="F38" s="10">
        <f t="shared" si="1"/>
        <v>0</v>
      </c>
      <c r="G38" s="29">
        <f t="shared" si="1"/>
        <v>245000000</v>
      </c>
    </row>
    <row r="39" spans="1:7" ht="15.75" thickBot="1" x14ac:dyDescent="0.3">
      <c r="A39" s="19" t="s">
        <v>36</v>
      </c>
      <c r="B39" s="30">
        <f t="shared" ref="B39:G39" si="2">B31+B38</f>
        <v>-360000000</v>
      </c>
      <c r="C39" s="30">
        <f t="shared" si="2"/>
        <v>45100000</v>
      </c>
      <c r="D39" s="30">
        <f t="shared" si="2"/>
        <v>63885000</v>
      </c>
      <c r="E39" s="30">
        <f t="shared" si="2"/>
        <v>84367875.00000003</v>
      </c>
      <c r="F39" s="30">
        <f t="shared" si="2"/>
        <v>106671450</v>
      </c>
      <c r="G39" s="31">
        <f t="shared" si="2"/>
        <v>375926587.8125</v>
      </c>
    </row>
    <row r="40" spans="1:7" ht="15.75" thickBot="1" x14ac:dyDescent="0.3"/>
    <row r="41" spans="1:7" ht="15.75" thickBot="1" x14ac:dyDescent="0.3">
      <c r="A41" s="19" t="s">
        <v>41</v>
      </c>
      <c r="B41" s="32">
        <v>1</v>
      </c>
      <c r="C41" s="32">
        <f>(1+$F$9)^C16</f>
        <v>1.1599999999999999</v>
      </c>
      <c r="D41" s="32">
        <f>(1+$F$9)^D16</f>
        <v>1.3455999999999999</v>
      </c>
      <c r="E41" s="32">
        <f>(1+$F$9)^E16</f>
        <v>1.5608959999999998</v>
      </c>
      <c r="F41" s="32">
        <f>(1+$F$9)^F16</f>
        <v>1.8106393599999997</v>
      </c>
      <c r="G41" s="20">
        <f>(1+$F$9)^G16</f>
        <v>2.1003416575999996</v>
      </c>
    </row>
    <row r="42" spans="1:7" ht="15.75" thickBot="1" x14ac:dyDescent="0.3">
      <c r="B42" s="1"/>
    </row>
    <row r="43" spans="1:7" ht="15.75" thickBot="1" x14ac:dyDescent="0.3">
      <c r="A43" s="33" t="s">
        <v>40</v>
      </c>
      <c r="B43" s="34">
        <f>B39+(C39/C41)+(D39/D41)+(E39/E41)+(F39/F41)+(G39/G41)</f>
        <v>18304432.344798058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1BFAB-3281-44CE-A80F-100DA53B66B6}">
  <dimension ref="A1:O42"/>
  <sheetViews>
    <sheetView workbookViewId="0">
      <selection activeCell="L14" sqref="L14"/>
    </sheetView>
  </sheetViews>
  <sheetFormatPr baseColWidth="10" defaultRowHeight="15" x14ac:dyDescent="0.25"/>
  <cols>
    <col min="1" max="1" width="19.5703125" customWidth="1"/>
    <col min="2" max="2" width="13.7109375" bestFit="1" customWidth="1"/>
    <col min="3" max="7" width="14.5703125" customWidth="1"/>
    <col min="8" max="8" width="13.140625" bestFit="1" customWidth="1"/>
    <col min="9" max="9" width="12" bestFit="1" customWidth="1"/>
  </cols>
  <sheetData>
    <row r="1" spans="1:15" x14ac:dyDescent="0.25">
      <c r="A1" s="2" t="s">
        <v>0</v>
      </c>
      <c r="B1" s="3">
        <v>200</v>
      </c>
      <c r="C1" s="4"/>
    </row>
    <row r="2" spans="1:15" ht="15.75" thickBot="1" x14ac:dyDescent="0.3">
      <c r="A2" s="9" t="s">
        <v>1</v>
      </c>
      <c r="B2" s="15">
        <v>10000000</v>
      </c>
      <c r="C2" s="11" t="s">
        <v>2</v>
      </c>
    </row>
    <row r="3" spans="1:15" ht="15.75" thickBot="1" x14ac:dyDescent="0.3">
      <c r="H3" s="2" t="s">
        <v>42</v>
      </c>
      <c r="I3" s="23">
        <v>120000000</v>
      </c>
    </row>
    <row r="4" spans="1:15" ht="15.75" thickBot="1" x14ac:dyDescent="0.3">
      <c r="A4" s="2" t="s">
        <v>5</v>
      </c>
      <c r="B4" s="3" t="s">
        <v>3</v>
      </c>
      <c r="C4" s="3" t="s">
        <v>4</v>
      </c>
      <c r="D4" s="4" t="s">
        <v>9</v>
      </c>
      <c r="E4" s="21" t="s">
        <v>32</v>
      </c>
      <c r="F4" s="22">
        <f>B5-((B5/C5))*5</f>
        <v>225000000</v>
      </c>
      <c r="H4" s="9" t="s">
        <v>47</v>
      </c>
      <c r="I4" s="13">
        <v>0.08</v>
      </c>
    </row>
    <row r="5" spans="1:15" x14ac:dyDescent="0.25">
      <c r="A5" s="5" t="s">
        <v>6</v>
      </c>
      <c r="B5" s="16">
        <v>300000000</v>
      </c>
      <c r="C5" s="7">
        <v>20</v>
      </c>
      <c r="D5" s="17">
        <f>B5/C5</f>
        <v>15000000</v>
      </c>
      <c r="H5" s="2" t="s">
        <v>43</v>
      </c>
      <c r="I5" s="3" t="s">
        <v>44</v>
      </c>
      <c r="J5" s="3" t="s">
        <v>45</v>
      </c>
      <c r="K5" s="3" t="s">
        <v>31</v>
      </c>
      <c r="L5" s="4" t="s">
        <v>46</v>
      </c>
    </row>
    <row r="6" spans="1:15" x14ac:dyDescent="0.25">
      <c r="A6" s="5" t="s">
        <v>7</v>
      </c>
      <c r="B6" s="16">
        <v>40000000</v>
      </c>
      <c r="C6" s="7">
        <v>5</v>
      </c>
      <c r="D6" s="17">
        <f>B6/C6</f>
        <v>8000000</v>
      </c>
      <c r="H6" s="5">
        <v>0</v>
      </c>
      <c r="I6" s="6">
        <f>I3</f>
        <v>120000000</v>
      </c>
      <c r="J6" s="7"/>
      <c r="K6" s="7"/>
      <c r="L6" s="8"/>
    </row>
    <row r="7" spans="1:15" ht="15.75" thickBot="1" x14ac:dyDescent="0.3">
      <c r="A7" s="9" t="s">
        <v>8</v>
      </c>
      <c r="B7" s="15">
        <v>20000000</v>
      </c>
      <c r="C7" s="18"/>
      <c r="D7" s="11"/>
      <c r="H7" s="5">
        <v>1</v>
      </c>
      <c r="I7" s="6">
        <f>I6-K7</f>
        <v>99545225.451979622</v>
      </c>
      <c r="J7" s="6">
        <f>I6*$I$4</f>
        <v>9600000</v>
      </c>
      <c r="K7" s="6">
        <f>L7-J7</f>
        <v>20454774.548020381</v>
      </c>
      <c r="L7" s="42">
        <f>($I$3*$I$4)/(1-(1+$I$4)^-5)</f>
        <v>30054774.548020381</v>
      </c>
    </row>
    <row r="8" spans="1:15" ht="15.75" thickBot="1" x14ac:dyDescent="0.3">
      <c r="H8" s="5">
        <v>2</v>
      </c>
      <c r="I8" s="6">
        <f>I7-K8</f>
        <v>77454068.940117612</v>
      </c>
      <c r="J8" s="6">
        <f>I7*$I$4</f>
        <v>7963618.0361583699</v>
      </c>
      <c r="K8" s="6">
        <f>L8-J8</f>
        <v>22091156.51186201</v>
      </c>
      <c r="L8" s="42">
        <f>($I$3*$I$4)/(1-(1+$I$4)^-5)</f>
        <v>30054774.548020381</v>
      </c>
    </row>
    <row r="9" spans="1:15" x14ac:dyDescent="0.25">
      <c r="A9" s="2" t="s">
        <v>10</v>
      </c>
      <c r="B9" s="14">
        <v>500000</v>
      </c>
      <c r="C9" s="4" t="s">
        <v>11</v>
      </c>
      <c r="E9" s="2" t="s">
        <v>16</v>
      </c>
      <c r="F9" s="12">
        <v>0.16</v>
      </c>
      <c r="H9" s="5">
        <v>3</v>
      </c>
      <c r="I9" s="6">
        <f>I8-K9</f>
        <v>53595619.907306641</v>
      </c>
      <c r="J9" s="6">
        <f>I8*$I$4</f>
        <v>6196325.5152094094</v>
      </c>
      <c r="K9" s="6">
        <f>L9-J9</f>
        <v>23858449.032810971</v>
      </c>
      <c r="L9" s="42">
        <f>($I$3*$I$4)/(1-(1+$I$4)^-5)</f>
        <v>30054774.548020381</v>
      </c>
    </row>
    <row r="10" spans="1:15" ht="15.75" thickBot="1" x14ac:dyDescent="0.3">
      <c r="A10" s="5" t="s">
        <v>12</v>
      </c>
      <c r="B10" s="7">
        <f>40+75</f>
        <v>115</v>
      </c>
      <c r="C10" s="8" t="s">
        <v>15</v>
      </c>
      <c r="E10" s="9" t="s">
        <v>17</v>
      </c>
      <c r="F10" s="13">
        <v>0.15</v>
      </c>
      <c r="H10" s="5">
        <v>4</v>
      </c>
      <c r="I10" s="6">
        <f>I9-K10</f>
        <v>27828494.951870792</v>
      </c>
      <c r="J10" s="6">
        <f>I9*$I$4</f>
        <v>4287649.5925845318</v>
      </c>
      <c r="K10" s="6">
        <f>L10-J10</f>
        <v>25767124.95543585</v>
      </c>
      <c r="L10" s="42">
        <f>($I$3*$I$4)/(1-(1+$I$4)^-5)</f>
        <v>30054774.548020381</v>
      </c>
      <c r="O10" s="41"/>
    </row>
    <row r="11" spans="1:15" ht="15.75" thickBot="1" x14ac:dyDescent="0.3">
      <c r="A11" s="9" t="s">
        <v>13</v>
      </c>
      <c r="B11" s="15">
        <f>10*250000*12</f>
        <v>30000000</v>
      </c>
      <c r="C11" s="11" t="s">
        <v>14</v>
      </c>
      <c r="H11" s="9">
        <v>5</v>
      </c>
      <c r="I11" s="10">
        <f>I10-K11</f>
        <v>7.4505805969238281E-8</v>
      </c>
      <c r="J11" s="10">
        <f>I10*$I$4</f>
        <v>2226279.5961496634</v>
      </c>
      <c r="K11" s="10">
        <f>L11-J11</f>
        <v>27828494.951870717</v>
      </c>
      <c r="L11" s="43">
        <f>($I$3*$I$4)/(1-(1+$I$4)^-5)</f>
        <v>30054774.548020381</v>
      </c>
    </row>
    <row r="12" spans="1:15" ht="15.75" thickBot="1" x14ac:dyDescent="0.3"/>
    <row r="13" spans="1:15" x14ac:dyDescent="0.25">
      <c r="A13" s="2" t="s">
        <v>37</v>
      </c>
      <c r="B13" s="3"/>
      <c r="C13" s="24">
        <f>((250-$B$1)/5)*1000000</f>
        <v>10000000</v>
      </c>
      <c r="D13" s="24">
        <f>C13*1.05</f>
        <v>10500000</v>
      </c>
      <c r="E13" s="24">
        <f>D13*1.05</f>
        <v>11025000</v>
      </c>
      <c r="F13" s="24">
        <f>E13*1.05</f>
        <v>11576250</v>
      </c>
      <c r="G13" s="23">
        <f>F13*1.05</f>
        <v>12155062.5</v>
      </c>
    </row>
    <row r="14" spans="1:15" ht="15.75" thickBot="1" x14ac:dyDescent="0.3">
      <c r="A14" s="9" t="s">
        <v>38</v>
      </c>
      <c r="B14" s="18"/>
      <c r="C14" s="25">
        <v>0.1</v>
      </c>
      <c r="D14" s="25">
        <v>0.12</v>
      </c>
      <c r="E14" s="25">
        <v>0.14000000000000001</v>
      </c>
      <c r="F14" s="25">
        <v>0.16</v>
      </c>
      <c r="G14" s="13">
        <v>0.18</v>
      </c>
    </row>
    <row r="15" spans="1:15" x14ac:dyDescent="0.25">
      <c r="A15" s="26" t="s">
        <v>39</v>
      </c>
      <c r="B15" s="27">
        <v>0</v>
      </c>
      <c r="C15" s="27">
        <v>1</v>
      </c>
      <c r="D15" s="27">
        <v>2</v>
      </c>
      <c r="E15" s="27">
        <v>3</v>
      </c>
      <c r="F15" s="27">
        <v>4</v>
      </c>
      <c r="G15" s="28">
        <v>5</v>
      </c>
      <c r="I15" s="44"/>
      <c r="J15" s="45"/>
      <c r="K15" s="45"/>
      <c r="L15" s="45"/>
    </row>
    <row r="16" spans="1:15" x14ac:dyDescent="0.25">
      <c r="A16" s="5" t="s">
        <v>18</v>
      </c>
      <c r="B16" s="7"/>
      <c r="C16" s="6">
        <f>$B$1*(C13*C14)</f>
        <v>200000000</v>
      </c>
      <c r="D16" s="6">
        <f>$B$1*(D13*D14)</f>
        <v>252000000</v>
      </c>
      <c r="E16" s="6">
        <f>$B$1*(E13*E14)</f>
        <v>308700000.00000006</v>
      </c>
      <c r="F16" s="6">
        <f>$B$1*(F13*F14)</f>
        <v>370440000</v>
      </c>
      <c r="G16" s="17">
        <f>$B$1*(G13*G14)</f>
        <v>437582250</v>
      </c>
      <c r="I16" s="45"/>
      <c r="J16" s="45"/>
      <c r="K16" s="45"/>
      <c r="L16" s="45"/>
    </row>
    <row r="17" spans="1:12" x14ac:dyDescent="0.25">
      <c r="A17" s="5" t="s">
        <v>19</v>
      </c>
      <c r="B17" s="7"/>
      <c r="C17" s="6">
        <f>$B$9*12</f>
        <v>6000000</v>
      </c>
      <c r="D17" s="6">
        <f>$B$9*12</f>
        <v>6000000</v>
      </c>
      <c r="E17" s="6">
        <f>$B$9*12</f>
        <v>6000000</v>
      </c>
      <c r="F17" s="6">
        <f>$B$9*12</f>
        <v>6000000</v>
      </c>
      <c r="G17" s="17">
        <f>$B$9*12</f>
        <v>6000000</v>
      </c>
      <c r="I17" s="45"/>
      <c r="J17" s="45"/>
      <c r="K17" s="45"/>
      <c r="L17" s="45"/>
    </row>
    <row r="18" spans="1:12" x14ac:dyDescent="0.25">
      <c r="A18" s="5" t="s">
        <v>20</v>
      </c>
      <c r="B18" s="7"/>
      <c r="C18" s="6">
        <f>$B$10*(C13*C14)</f>
        <v>115000000</v>
      </c>
      <c r="D18" s="6">
        <f>$B$10*(D13*D14)</f>
        <v>144900000</v>
      </c>
      <c r="E18" s="6">
        <f>$B$10*(E13*E14)</f>
        <v>177502500.00000003</v>
      </c>
      <c r="F18" s="6">
        <f>$B$10*(F13*F14)</f>
        <v>213003000</v>
      </c>
      <c r="G18" s="17">
        <f>$B$10*(G13*G14)</f>
        <v>251609793.75</v>
      </c>
    </row>
    <row r="19" spans="1:12" x14ac:dyDescent="0.25">
      <c r="A19" s="5" t="s">
        <v>13</v>
      </c>
      <c r="B19" s="7"/>
      <c r="C19" s="6">
        <f>$B$11</f>
        <v>30000000</v>
      </c>
      <c r="D19" s="6">
        <f>$B$11</f>
        <v>30000000</v>
      </c>
      <c r="E19" s="6">
        <f>$B$11</f>
        <v>30000000</v>
      </c>
      <c r="F19" s="6">
        <f>$B$11</f>
        <v>30000000</v>
      </c>
      <c r="G19" s="17">
        <f>$B$11</f>
        <v>30000000</v>
      </c>
    </row>
    <row r="20" spans="1:12" x14ac:dyDescent="0.25">
      <c r="A20" s="5" t="s">
        <v>21</v>
      </c>
      <c r="B20" s="7"/>
      <c r="C20" s="6">
        <f>J7</f>
        <v>9600000</v>
      </c>
      <c r="D20" s="6">
        <f>J8</f>
        <v>7963618.0361583699</v>
      </c>
      <c r="E20" s="6">
        <f>J9</f>
        <v>6196325.5152094094</v>
      </c>
      <c r="F20" s="6">
        <f>J10</f>
        <v>4287649.5925845318</v>
      </c>
      <c r="G20" s="17">
        <f>J11</f>
        <v>2226279.5961496634</v>
      </c>
    </row>
    <row r="21" spans="1:12" x14ac:dyDescent="0.25">
      <c r="A21" s="5" t="s">
        <v>22</v>
      </c>
      <c r="B21" s="7"/>
      <c r="C21" s="6">
        <f>SUM($D$5:$D$6)</f>
        <v>23000000</v>
      </c>
      <c r="D21" s="6">
        <f>SUM($D$5:$D$6)</f>
        <v>23000000</v>
      </c>
      <c r="E21" s="6">
        <f>SUM($D$5:$D$6)</f>
        <v>23000000</v>
      </c>
      <c r="F21" s="6">
        <f>SUM($D$5:$D$6)</f>
        <v>23000000</v>
      </c>
      <c r="G21" s="17">
        <f>SUM($D$5:$D$6)</f>
        <v>23000000</v>
      </c>
    </row>
    <row r="22" spans="1:12" x14ac:dyDescent="0.25">
      <c r="A22" s="5" t="s">
        <v>23</v>
      </c>
      <c r="B22" s="7"/>
      <c r="C22" s="7">
        <f>IF(B24&gt;0,0,B24)</f>
        <v>0</v>
      </c>
      <c r="D22" s="7">
        <f>IF(C24&gt;0,0,C24)</f>
        <v>0</v>
      </c>
      <c r="E22" s="7">
        <f>IF(D24&gt;0,0,D24)</f>
        <v>0</v>
      </c>
      <c r="F22" s="7">
        <f>IF(E24&gt;0,0,E24)</f>
        <v>0</v>
      </c>
      <c r="G22" s="8">
        <f>IF(F24&gt;0,0,F24)</f>
        <v>0</v>
      </c>
    </row>
    <row r="23" spans="1:12" x14ac:dyDescent="0.25">
      <c r="A23" s="5" t="s">
        <v>24</v>
      </c>
      <c r="B23" s="7"/>
      <c r="C23" s="7"/>
      <c r="D23" s="7"/>
      <c r="E23" s="7"/>
      <c r="F23" s="7"/>
      <c r="G23" s="8"/>
    </row>
    <row r="24" spans="1:12" x14ac:dyDescent="0.25">
      <c r="A24" s="5" t="s">
        <v>25</v>
      </c>
      <c r="B24" s="7"/>
      <c r="C24" s="6">
        <f>C16-C17-C18-C19-C20-C21+C22+C23</f>
        <v>16400000</v>
      </c>
      <c r="D24" s="6">
        <f>D16-D17-D18-D19-D20-D21+D22+D23</f>
        <v>40136381.963841632</v>
      </c>
      <c r="E24" s="6">
        <f>E16-E17-E18-E19-E20-E21+E22+E23</f>
        <v>66001174.484790623</v>
      </c>
      <c r="F24" s="6">
        <f>F16-F17-F18-F19-F20-F21+F22+F23</f>
        <v>94149350.407415465</v>
      </c>
      <c r="G24" s="17">
        <f>G16-G17-G18-G19-G20-G21+G22+G23</f>
        <v>124746176.65385035</v>
      </c>
    </row>
    <row r="25" spans="1:12" x14ac:dyDescent="0.25">
      <c r="A25" s="5" t="s">
        <v>26</v>
      </c>
      <c r="B25" s="7"/>
      <c r="C25" s="6">
        <f>C24*$F$10</f>
        <v>2460000</v>
      </c>
      <c r="D25" s="6">
        <f>D24*$F$10</f>
        <v>6020457.2945762444</v>
      </c>
      <c r="E25" s="6">
        <f>E24*$F$10</f>
        <v>9900176.1727185939</v>
      </c>
      <c r="F25" s="6">
        <f>F24*$F$10</f>
        <v>14122402.56111232</v>
      </c>
      <c r="G25" s="17">
        <f>G24*$F$10</f>
        <v>18711926.498077553</v>
      </c>
    </row>
    <row r="26" spans="1:12" x14ac:dyDescent="0.25">
      <c r="A26" s="5" t="s">
        <v>27</v>
      </c>
      <c r="B26" s="7"/>
      <c r="C26" s="6">
        <f>C24-C25</f>
        <v>13940000</v>
      </c>
      <c r="D26" s="6">
        <f>D24-D25</f>
        <v>34115924.669265389</v>
      </c>
      <c r="E26" s="6">
        <f>E24-E25</f>
        <v>56100998.312072031</v>
      </c>
      <c r="F26" s="6">
        <f>F24-F25</f>
        <v>80026947.84630315</v>
      </c>
      <c r="G26" s="17">
        <f>G24-G25</f>
        <v>106034250.15577279</v>
      </c>
    </row>
    <row r="27" spans="1:12" x14ac:dyDescent="0.25">
      <c r="A27" s="5" t="s">
        <v>22</v>
      </c>
      <c r="B27" s="7"/>
      <c r="C27" s="6">
        <f>C21</f>
        <v>23000000</v>
      </c>
      <c r="D27" s="6">
        <f>D21</f>
        <v>23000000</v>
      </c>
      <c r="E27" s="6">
        <f>E21</f>
        <v>23000000</v>
      </c>
      <c r="F27" s="6">
        <f>F21</f>
        <v>23000000</v>
      </c>
      <c r="G27" s="17">
        <f>G21</f>
        <v>23000000</v>
      </c>
    </row>
    <row r="28" spans="1:12" x14ac:dyDescent="0.25">
      <c r="A28" s="5" t="s">
        <v>23</v>
      </c>
      <c r="B28" s="7"/>
      <c r="C28" s="7">
        <f>-C22</f>
        <v>0</v>
      </c>
      <c r="D28" s="7">
        <f t="shared" ref="D28:G29" si="0">-D22</f>
        <v>0</v>
      </c>
      <c r="E28" s="7">
        <f t="shared" si="0"/>
        <v>0</v>
      </c>
      <c r="F28" s="7">
        <f t="shared" si="0"/>
        <v>0</v>
      </c>
      <c r="G28" s="8">
        <f t="shared" si="0"/>
        <v>0</v>
      </c>
    </row>
    <row r="29" spans="1:12" x14ac:dyDescent="0.25">
      <c r="A29" s="5" t="s">
        <v>24</v>
      </c>
      <c r="B29" s="7"/>
      <c r="C29" s="7">
        <f>-C23</f>
        <v>0</v>
      </c>
      <c r="D29" s="7">
        <f t="shared" si="0"/>
        <v>0</v>
      </c>
      <c r="E29" s="7">
        <f t="shared" si="0"/>
        <v>0</v>
      </c>
      <c r="F29" s="7">
        <f t="shared" si="0"/>
        <v>0</v>
      </c>
      <c r="G29" s="8">
        <f t="shared" si="0"/>
        <v>0</v>
      </c>
    </row>
    <row r="30" spans="1:12" x14ac:dyDescent="0.25">
      <c r="A30" s="5" t="s">
        <v>28</v>
      </c>
      <c r="B30" s="7"/>
      <c r="C30" s="6">
        <f>C26+C27+C28+C29</f>
        <v>36940000</v>
      </c>
      <c r="D30" s="6">
        <f>D26+D27+D28+D29</f>
        <v>57115924.669265389</v>
      </c>
      <c r="E30" s="6">
        <f>E26+E27+E28+E29</f>
        <v>79100998.312072039</v>
      </c>
      <c r="F30" s="6">
        <f>F26+F27+F28+F29</f>
        <v>103026947.84630315</v>
      </c>
      <c r="G30" s="17">
        <f>G26+G27+G28+G29</f>
        <v>129034250.15577279</v>
      </c>
    </row>
    <row r="31" spans="1:12" x14ac:dyDescent="0.25">
      <c r="A31" s="5" t="s">
        <v>29</v>
      </c>
      <c r="B31" s="6">
        <f>SUM(B5:B6)</f>
        <v>340000000</v>
      </c>
      <c r="C31" s="7"/>
      <c r="D31" s="7"/>
      <c r="E31" s="7"/>
      <c r="F31" s="7"/>
      <c r="G31" s="8"/>
    </row>
    <row r="32" spans="1:12" x14ac:dyDescent="0.25">
      <c r="A32" s="5" t="s">
        <v>30</v>
      </c>
      <c r="B32" s="6">
        <f>I3</f>
        <v>120000000</v>
      </c>
      <c r="C32" s="7"/>
      <c r="D32" s="7"/>
      <c r="E32" s="7"/>
      <c r="F32" s="7"/>
      <c r="G32" s="8"/>
    </row>
    <row r="33" spans="1:7" x14ac:dyDescent="0.25">
      <c r="A33" s="5" t="s">
        <v>31</v>
      </c>
      <c r="B33" s="7"/>
      <c r="C33" s="6">
        <f>K7</f>
        <v>20454774.548020381</v>
      </c>
      <c r="D33" s="6">
        <f>K8</f>
        <v>22091156.51186201</v>
      </c>
      <c r="E33" s="6">
        <f>K9</f>
        <v>23858449.032810971</v>
      </c>
      <c r="F33" s="6">
        <f>K10</f>
        <v>25767124.95543585</v>
      </c>
      <c r="G33" s="17">
        <f>K11</f>
        <v>27828494.951870717</v>
      </c>
    </row>
    <row r="34" spans="1:7" x14ac:dyDescent="0.25">
      <c r="A34" s="5" t="s">
        <v>32</v>
      </c>
      <c r="B34" s="7"/>
      <c r="C34" s="7"/>
      <c r="D34" s="7"/>
      <c r="E34" s="7"/>
      <c r="F34" s="7"/>
      <c r="G34" s="8">
        <f>F4</f>
        <v>225000000</v>
      </c>
    </row>
    <row r="35" spans="1:7" x14ac:dyDescent="0.25">
      <c r="A35" s="5" t="s">
        <v>33</v>
      </c>
      <c r="B35" s="6">
        <f>B7</f>
        <v>20000000</v>
      </c>
      <c r="C35" s="7"/>
      <c r="D35" s="7"/>
      <c r="E35" s="7"/>
      <c r="F35" s="7"/>
      <c r="G35" s="8"/>
    </row>
    <row r="36" spans="1:7" x14ac:dyDescent="0.25">
      <c r="A36" s="5" t="s">
        <v>34</v>
      </c>
      <c r="B36" s="7"/>
      <c r="C36" s="7"/>
      <c r="D36" s="7"/>
      <c r="E36" s="7"/>
      <c r="F36" s="7"/>
      <c r="G36" s="17">
        <f>B35</f>
        <v>20000000</v>
      </c>
    </row>
    <row r="37" spans="1:7" ht="15.75" thickBot="1" x14ac:dyDescent="0.3">
      <c r="A37" s="9" t="s">
        <v>35</v>
      </c>
      <c r="B37" s="10">
        <f t="shared" ref="B37:G37" si="1">-B31+B32-B33+B34-B35+B36</f>
        <v>-240000000</v>
      </c>
      <c r="C37" s="10">
        <f t="shared" si="1"/>
        <v>-20454774.548020381</v>
      </c>
      <c r="D37" s="10">
        <f t="shared" si="1"/>
        <v>-22091156.51186201</v>
      </c>
      <c r="E37" s="10">
        <f t="shared" si="1"/>
        <v>-23858449.032810971</v>
      </c>
      <c r="F37" s="10">
        <f t="shared" si="1"/>
        <v>-25767124.95543585</v>
      </c>
      <c r="G37" s="29">
        <f t="shared" si="1"/>
        <v>217171505.04812929</v>
      </c>
    </row>
    <row r="38" spans="1:7" ht="15.75" thickBot="1" x14ac:dyDescent="0.3">
      <c r="A38" s="19" t="s">
        <v>36</v>
      </c>
      <c r="B38" s="30">
        <f t="shared" ref="B38:G38" si="2">B30+B37</f>
        <v>-240000000</v>
      </c>
      <c r="C38" s="30">
        <f t="shared" si="2"/>
        <v>16485225.451979619</v>
      </c>
      <c r="D38" s="30">
        <f t="shared" si="2"/>
        <v>35024768.15740338</v>
      </c>
      <c r="E38" s="30">
        <f t="shared" si="2"/>
        <v>55242549.279261068</v>
      </c>
      <c r="F38" s="30">
        <f t="shared" si="2"/>
        <v>77259822.890867293</v>
      </c>
      <c r="G38" s="31">
        <f t="shared" si="2"/>
        <v>346205755.20390207</v>
      </c>
    </row>
    <row r="39" spans="1:7" ht="15.75" thickBot="1" x14ac:dyDescent="0.3"/>
    <row r="40" spans="1:7" ht="15.75" thickBot="1" x14ac:dyDescent="0.3">
      <c r="A40" s="19" t="s">
        <v>41</v>
      </c>
      <c r="B40" s="32">
        <v>1</v>
      </c>
      <c r="C40" s="32">
        <f>(1+$F$9)^C15</f>
        <v>1.1599999999999999</v>
      </c>
      <c r="D40" s="32">
        <f>(1+$F$9)^D15</f>
        <v>1.3455999999999999</v>
      </c>
      <c r="E40" s="32">
        <f>(1+$F$9)^E15</f>
        <v>1.5608959999999998</v>
      </c>
      <c r="F40" s="32">
        <f>(1+$F$9)^F15</f>
        <v>1.8106393599999997</v>
      </c>
      <c r="G40" s="20">
        <f>(1+$F$9)^G15</f>
        <v>2.1003416575999996</v>
      </c>
    </row>
    <row r="41" spans="1:7" ht="15.75" thickBot="1" x14ac:dyDescent="0.3">
      <c r="B41" s="1"/>
    </row>
    <row r="42" spans="1:7" ht="15.75" thickBot="1" x14ac:dyDescent="0.3">
      <c r="A42" s="33" t="s">
        <v>40</v>
      </c>
      <c r="B42" s="34">
        <f>B38+(C38/C40)+(D38/D40)+(E38/E40)+(F38/F40)+(G38/G40)</f>
        <v>43135051.145275325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SIN PRESTAMO</vt:lpstr>
      <vt:lpstr>CON PRESTAMO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2018-11-21T15:13:11Z</dcterms:created>
  <dcterms:modified xsi:type="dcterms:W3CDTF">2018-11-26T02:24:36Z</dcterms:modified>
</cp:coreProperties>
</file>